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kerj\OneDrive - Queensland University of Technology\teaching\egb272.17\unsignalised intersections\"/>
    </mc:Choice>
  </mc:AlternateContent>
  <bookViews>
    <workbookView xWindow="-15" yWindow="-15" windowWidth="14520" windowHeight="12855"/>
  </bookViews>
  <sheets>
    <sheet name="unsig intersection example" sheetId="8" r:id="rId1"/>
  </sheets>
  <calcPr calcId="152511"/>
</workbook>
</file>

<file path=xl/calcChain.xml><?xml version="1.0" encoding="utf-8"?>
<calcChain xmlns="http://schemas.openxmlformats.org/spreadsheetml/2006/main">
  <c r="Q21" i="8" l="1"/>
  <c r="Q27" i="8"/>
  <c r="M25" i="8"/>
  <c r="M19" i="8"/>
  <c r="T29" i="8" l="1"/>
  <c r="T28" i="8"/>
  <c r="T25" i="8"/>
  <c r="T23" i="8"/>
  <c r="T22" i="8"/>
  <c r="T19" i="8"/>
  <c r="D42" i="8" l="1"/>
  <c r="E42" i="8" s="1"/>
  <c r="D37" i="8"/>
  <c r="S29" i="8"/>
  <c r="S28" i="8"/>
  <c r="S23" i="8"/>
  <c r="S22" i="8"/>
  <c r="O14" i="8"/>
  <c r="N14" i="8"/>
  <c r="M14" i="8"/>
  <c r="Q12" i="8"/>
  <c r="K12" i="8"/>
  <c r="Q11" i="8"/>
  <c r="K11" i="8"/>
  <c r="Q10" i="8"/>
  <c r="E38" i="8" s="1"/>
  <c r="K10" i="8"/>
  <c r="F41" i="8" s="1"/>
  <c r="O8" i="8"/>
  <c r="N8" i="8"/>
  <c r="M8" i="8"/>
  <c r="G25" i="8" l="1"/>
  <c r="K25" i="8" s="1"/>
  <c r="L25" i="8" s="1"/>
  <c r="S25" i="8" s="1"/>
  <c r="G24" i="8"/>
  <c r="K24" i="8" s="1"/>
  <c r="L24" i="8" s="1"/>
  <c r="S24" i="8" s="1"/>
  <c r="E39" i="8"/>
  <c r="Q34" i="8" s="1"/>
  <c r="G20" i="8"/>
  <c r="K20" i="8" s="1"/>
  <c r="E37" i="8"/>
  <c r="S37" i="8" s="1"/>
  <c r="G30" i="8"/>
  <c r="K30" i="8" s="1"/>
  <c r="L30" i="8" s="1"/>
  <c r="S30" i="8" s="1"/>
  <c r="S36" i="8"/>
  <c r="M37" i="8"/>
  <c r="F37" i="8"/>
  <c r="F36" i="8"/>
  <c r="F42" i="8"/>
  <c r="G42" i="8" s="1"/>
  <c r="H42" i="8" s="1"/>
  <c r="E34" i="8"/>
  <c r="E35" i="8"/>
  <c r="G27" i="8"/>
  <c r="K27" i="8" s="1"/>
  <c r="G21" i="8"/>
  <c r="K21" i="8" s="1"/>
  <c r="G26" i="8"/>
  <c r="K26" i="8" s="1"/>
  <c r="E36" i="8"/>
  <c r="E40" i="8"/>
  <c r="E41" i="8"/>
  <c r="G19" i="8"/>
  <c r="K19" i="8" s="1"/>
  <c r="L19" i="8" s="1"/>
  <c r="E43" i="8"/>
  <c r="F43" i="8" l="1"/>
  <c r="G43" i="8" s="1"/>
  <c r="H43" i="8" s="1"/>
  <c r="K43" i="8" s="1"/>
  <c r="T30" i="8"/>
  <c r="F38" i="8"/>
  <c r="G38" i="8" s="1"/>
  <c r="H38" i="8" s="1"/>
  <c r="K38" i="8" s="1"/>
  <c r="T24" i="8"/>
  <c r="M24" i="8"/>
  <c r="G37" i="8"/>
  <c r="H37" i="8" s="1"/>
  <c r="M30" i="8"/>
  <c r="P34" i="8"/>
  <c r="S38" i="8"/>
  <c r="G36" i="8"/>
  <c r="H36" i="8" s="1"/>
  <c r="M38" i="8"/>
  <c r="G41" i="8"/>
  <c r="H41" i="8" s="1"/>
  <c r="M36" i="8"/>
  <c r="S19" i="8"/>
  <c r="P40" i="8"/>
  <c r="O40" i="8"/>
  <c r="N26" i="8" l="1"/>
  <c r="O26" i="8" s="1"/>
  <c r="P26" i="8" s="1"/>
  <c r="R21" i="8" s="1"/>
  <c r="S21" i="8" s="1"/>
  <c r="I38" i="8"/>
  <c r="N20" i="8"/>
  <c r="O20" i="8" s="1"/>
  <c r="P20" i="8" s="1"/>
  <c r="R27" i="8" s="1"/>
  <c r="S27" i="8" s="1"/>
  <c r="I43" i="8"/>
  <c r="F40" i="8" l="1"/>
  <c r="G40" i="8" s="1"/>
  <c r="H40" i="8" s="1"/>
  <c r="K40" i="8" s="1"/>
  <c r="T27" i="8"/>
  <c r="F35" i="8"/>
  <c r="G35" i="8" s="1"/>
  <c r="H35" i="8" s="1"/>
  <c r="K35" i="8" s="1"/>
  <c r="T21" i="8"/>
  <c r="S26" i="8"/>
  <c r="S20" i="8"/>
  <c r="F34" i="8" l="1"/>
  <c r="G34" i="8" s="1"/>
  <c r="H34" i="8" s="1"/>
  <c r="K34" i="8" s="1"/>
  <c r="T20" i="8"/>
  <c r="F39" i="8"/>
  <c r="G39" i="8" s="1"/>
  <c r="H39" i="8" s="1"/>
  <c r="K39" i="8" s="1"/>
  <c r="T26" i="8"/>
  <c r="I35" i="8"/>
  <c r="I40" i="8"/>
  <c r="I34" i="8" l="1"/>
  <c r="I39" i="8"/>
</calcChain>
</file>

<file path=xl/sharedStrings.xml><?xml version="1.0" encoding="utf-8"?>
<sst xmlns="http://schemas.openxmlformats.org/spreadsheetml/2006/main" count="90" uniqueCount="68">
  <si>
    <t>Flow Rate (veh/h)</t>
  </si>
  <si>
    <t>Flow Rate (veh/s)</t>
  </si>
  <si>
    <t>Rank</t>
  </si>
  <si>
    <t>Rank 1</t>
  </si>
  <si>
    <t>Rank 2</t>
  </si>
  <si>
    <t>Rank 3</t>
  </si>
  <si>
    <t>Movt</t>
  </si>
  <si>
    <t>Conflicting Movements</t>
  </si>
  <si>
    <t>vc</t>
  </si>
  <si>
    <t>tc</t>
  </si>
  <si>
    <t>tf</t>
  </si>
  <si>
    <t>cp</t>
  </si>
  <si>
    <t>fk</t>
  </si>
  <si>
    <t>cmk</t>
  </si>
  <si>
    <t>cmj</t>
  </si>
  <si>
    <t>cmi</t>
  </si>
  <si>
    <t>fl</t>
  </si>
  <si>
    <t>cml</t>
  </si>
  <si>
    <t>veh/s</t>
  </si>
  <si>
    <t>cm</t>
  </si>
  <si>
    <t>Lane</t>
  </si>
  <si>
    <t>S1</t>
  </si>
  <si>
    <t>E1</t>
  </si>
  <si>
    <t>N1</t>
  </si>
  <si>
    <t>W1</t>
  </si>
  <si>
    <t>Movts</t>
  </si>
  <si>
    <t>p(thru)</t>
  </si>
  <si>
    <r>
      <rPr>
        <i/>
        <sz val="11"/>
        <color rgb="FF7F7F7F"/>
        <rFont val="Symbol"/>
        <family val="1"/>
        <charset val="2"/>
      </rPr>
      <t>S</t>
    </r>
    <r>
      <rPr>
        <i/>
        <sz val="11"/>
        <color rgb="FF7F7F7F"/>
        <rFont val="Calibri"/>
        <family val="2"/>
        <scheme val="minor"/>
      </rPr>
      <t xml:space="preserve"> v</t>
    </r>
  </si>
  <si>
    <r>
      <rPr>
        <i/>
        <sz val="11"/>
        <color rgb="FF7F7F7F"/>
        <rFont val="Symbol"/>
        <family val="1"/>
        <charset val="2"/>
      </rPr>
      <t>S</t>
    </r>
    <r>
      <rPr>
        <i/>
        <sz val="11"/>
        <color rgb="FF7F7F7F"/>
        <rFont val="Calibri"/>
        <family val="2"/>
        <scheme val="minor"/>
      </rPr>
      <t xml:space="preserve"> X</t>
    </r>
  </si>
  <si>
    <t>cSH</t>
  </si>
  <si>
    <t>X lane</t>
  </si>
  <si>
    <t>d lane</t>
  </si>
  <si>
    <t>B</t>
  </si>
  <si>
    <t>Q95 lane</t>
  </si>
  <si>
    <t>lane LoS</t>
  </si>
  <si>
    <t>F</t>
  </si>
  <si>
    <t>10, 11</t>
  </si>
  <si>
    <t>4, 5, 10, 11</t>
  </si>
  <si>
    <t>6, 12</t>
  </si>
  <si>
    <t>6, 12, 1</t>
  </si>
  <si>
    <t>4, 5</t>
  </si>
  <si>
    <t>6, 12, 7</t>
  </si>
  <si>
    <t>E2</t>
  </si>
  <si>
    <t>E3</t>
  </si>
  <si>
    <t>W2</t>
  </si>
  <si>
    <t>W3</t>
  </si>
  <si>
    <t>4, part 5</t>
  </si>
  <si>
    <t>part 5</t>
  </si>
  <si>
    <t>10, part 11</t>
  </si>
  <si>
    <t>part 11</t>
  </si>
  <si>
    <t>X</t>
  </si>
  <si>
    <t>S2</t>
  </si>
  <si>
    <t>1, 2</t>
  </si>
  <si>
    <t>7, 8</t>
  </si>
  <si>
    <t>N2</t>
  </si>
  <si>
    <t>p(qj=0)</t>
  </si>
  <si>
    <t>p(qk=0)</t>
  </si>
  <si>
    <t>Lane Flow Rate (veh/s)</t>
  </si>
  <si>
    <t>EGB272 Traffic and Transport Engineering</t>
  </si>
  <si>
    <t>A</t>
  </si>
  <si>
    <t xml:space="preserve">The intersection's critical lane is the BLAH lane with a degree of saturation of BLAH, exceeding the practical degree of saturation of 0.8. </t>
  </si>
  <si>
    <t>The delay on each of lanes N2 and S2 are BLAH resulting in levels of service BLAH.</t>
  </si>
  <si>
    <t xml:space="preserve">The design queue length on each of lane BLAH is BLAH vehicles, requiring a storage of BLAH m. This isBLAH the storage available on the lane. </t>
  </si>
  <si>
    <t>The intersection is thus BLAH its capacity and consideration needs to be given to BLAH.</t>
  </si>
  <si>
    <t>Sem 1, 2017</t>
  </si>
  <si>
    <t>Example by Jon Bunker</t>
  </si>
  <si>
    <t>E</t>
  </si>
  <si>
    <t>Unsignalised Intersections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</si>
</sst>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Symbol"/>
      <family val="1"/>
      <charset val="2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4" fillId="0" borderId="0" applyNumberFormat="0" applyFill="0" applyBorder="0" applyAlignment="0" applyProtection="0"/>
    <xf numFmtId="0" fontId="6" fillId="3" borderId="3" applyNumberFormat="0" applyAlignment="0" applyProtection="0"/>
    <xf numFmtId="0" fontId="8" fillId="5" borderId="4" applyNumberFormat="0" applyAlignment="0" applyProtection="0"/>
    <xf numFmtId="0" fontId="9" fillId="6" borderId="0" applyNumberFormat="0" applyBorder="0" applyAlignment="0" applyProtection="0"/>
    <xf numFmtId="0" fontId="10" fillId="0" borderId="5" applyNumberFormat="0" applyFill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/>
    </xf>
    <xf numFmtId="0" fontId="2" fillId="2" borderId="1" xfId="1" applyAlignment="1">
      <alignment horizontal="center"/>
    </xf>
    <xf numFmtId="0" fontId="3" fillId="3" borderId="1" xfId="2" applyAlignment="1">
      <alignment horizontal="center"/>
    </xf>
    <xf numFmtId="164" fontId="3" fillId="3" borderId="1" xfId="2" applyNumberFormat="1" applyAlignment="1">
      <alignment horizontal="center"/>
    </xf>
    <xf numFmtId="0" fontId="4" fillId="0" borderId="0" xfId="4" applyAlignment="1">
      <alignment horizontal="center"/>
    </xf>
    <xf numFmtId="0" fontId="0" fillId="4" borderId="2" xfId="3" applyFont="1" applyAlignment="1">
      <alignment horizontal="center"/>
    </xf>
    <xf numFmtId="164" fontId="6" fillId="3" borderId="3" xfId="5" applyNumberFormat="1" applyAlignment="1">
      <alignment horizontal="center"/>
    </xf>
    <xf numFmtId="2" fontId="6" fillId="3" borderId="3" xfId="5" applyNumberFormat="1" applyAlignment="1">
      <alignment horizontal="center"/>
    </xf>
    <xf numFmtId="1" fontId="6" fillId="3" borderId="3" xfId="5" applyNumberFormat="1" applyAlignment="1">
      <alignment horizontal="center"/>
    </xf>
    <xf numFmtId="0" fontId="0" fillId="4" borderId="0" xfId="3" applyFont="1" applyBorder="1" applyAlignment="1">
      <alignment horizontal="left"/>
    </xf>
    <xf numFmtId="0" fontId="0" fillId="4" borderId="2" xfId="3" applyFont="1" applyAlignment="1">
      <alignment horizontal="left"/>
    </xf>
    <xf numFmtId="0" fontId="0" fillId="0" borderId="0" xfId="0" applyFill="1" applyBorder="1" applyAlignment="1">
      <alignment horizontal="center"/>
    </xf>
    <xf numFmtId="164" fontId="3" fillId="0" borderId="0" xfId="2" applyNumberFormat="1" applyFill="1" applyBorder="1" applyAlignment="1">
      <alignment horizontal="center"/>
    </xf>
    <xf numFmtId="1" fontId="3" fillId="0" borderId="0" xfId="2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2" applyFill="1" applyBorder="1" applyAlignment="1">
      <alignment horizontal="center"/>
    </xf>
    <xf numFmtId="2" fontId="8" fillId="5" borderId="4" xfId="6" applyNumberFormat="1" applyAlignment="1">
      <alignment horizontal="center"/>
    </xf>
    <xf numFmtId="0" fontId="0" fillId="4" borderId="2" xfId="3" applyFont="1"/>
    <xf numFmtId="0" fontId="6" fillId="3" borderId="3" xfId="5" applyNumberFormat="1" applyAlignment="1">
      <alignment horizontal="center"/>
    </xf>
    <xf numFmtId="0" fontId="9" fillId="6" borderId="1" xfId="7" applyBorder="1" applyAlignment="1">
      <alignment horizontal="center"/>
    </xf>
    <xf numFmtId="1" fontId="9" fillId="6" borderId="3" xfId="7" applyNumberFormat="1" applyBorder="1" applyAlignment="1">
      <alignment horizontal="center"/>
    </xf>
    <xf numFmtId="164" fontId="10" fillId="3" borderId="5" xfId="8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9">
    <cellStyle name="Calculation" xfId="2" builtinId="22"/>
    <cellStyle name="Check Cell" xfId="6" builtinId="23"/>
    <cellStyle name="Explanatory Text" xfId="4" builtinId="53"/>
    <cellStyle name="Input" xfId="1" builtinId="20"/>
    <cellStyle name="Linked Cell" xfId="8" builtinId="24"/>
    <cellStyle name="Neutral" xfId="7" builtinId="28"/>
    <cellStyle name="Normal" xfId="0" builtinId="0"/>
    <cellStyle name="Note" xfId="3" builtinId="10"/>
    <cellStyle name="Output" xfId="5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49"/>
  <sheetViews>
    <sheetView tabSelected="1" topLeftCell="A25" workbookViewId="0">
      <selection activeCell="X47" sqref="X47"/>
    </sheetView>
  </sheetViews>
  <sheetFormatPr defaultRowHeight="15" x14ac:dyDescent="0.25"/>
  <cols>
    <col min="10" max="10" width="9.7109375" customWidth="1"/>
  </cols>
  <sheetData>
    <row r="2" spans="2:26" x14ac:dyDescent="0.25">
      <c r="B2" t="s">
        <v>58</v>
      </c>
    </row>
    <row r="3" spans="2:26" x14ac:dyDescent="0.25">
      <c r="B3" t="s">
        <v>64</v>
      </c>
    </row>
    <row r="5" spans="2:26" x14ac:dyDescent="0.25">
      <c r="B5" t="s">
        <v>67</v>
      </c>
    </row>
    <row r="6" spans="2:26" x14ac:dyDescent="0.25">
      <c r="B6" t="s">
        <v>65</v>
      </c>
    </row>
    <row r="8" spans="2:26" x14ac:dyDescent="0.25">
      <c r="B8" s="23"/>
      <c r="C8" s="23"/>
      <c r="D8" s="2">
        <v>7</v>
      </c>
      <c r="E8" s="2">
        <v>65</v>
      </c>
      <c r="F8" s="2">
        <v>15</v>
      </c>
      <c r="G8" s="23"/>
      <c r="H8" s="23"/>
      <c r="K8" s="23"/>
      <c r="L8" s="23"/>
      <c r="M8" s="4">
        <f>D8/3600</f>
        <v>1.9444444444444444E-3</v>
      </c>
      <c r="N8" s="4">
        <f>E8/3600</f>
        <v>1.8055555555555554E-2</v>
      </c>
      <c r="O8" s="4">
        <f>F8/3600</f>
        <v>4.1666666666666666E-3</v>
      </c>
      <c r="P8" s="23"/>
      <c r="Q8" s="23"/>
      <c r="T8" s="12"/>
      <c r="U8" s="12"/>
      <c r="V8" s="13"/>
      <c r="W8" s="14"/>
      <c r="X8" s="13"/>
      <c r="Y8" s="12"/>
      <c r="Z8" s="12"/>
    </row>
    <row r="9" spans="2:26" x14ac:dyDescent="0.25">
      <c r="B9" s="23"/>
      <c r="C9" s="1"/>
      <c r="D9" s="1">
        <v>9</v>
      </c>
      <c r="E9" s="1">
        <v>8</v>
      </c>
      <c r="F9" s="1">
        <v>7</v>
      </c>
      <c r="G9" s="1"/>
      <c r="H9" s="23"/>
      <c r="K9" s="23"/>
      <c r="L9" s="1"/>
      <c r="M9" s="1">
        <v>9</v>
      </c>
      <c r="N9" s="1">
        <v>8</v>
      </c>
      <c r="O9" s="1">
        <v>7</v>
      </c>
      <c r="P9" s="1"/>
      <c r="Q9" s="23"/>
      <c r="T9" s="12"/>
      <c r="U9" s="15"/>
      <c r="V9" s="15"/>
      <c r="W9" s="15"/>
      <c r="X9" s="15"/>
      <c r="Y9" s="15"/>
      <c r="Z9" s="12"/>
    </row>
    <row r="10" spans="2:26" x14ac:dyDescent="0.25">
      <c r="B10" s="2">
        <v>30</v>
      </c>
      <c r="C10" s="1">
        <v>10</v>
      </c>
      <c r="D10" s="1"/>
      <c r="E10" s="1"/>
      <c r="F10" s="1"/>
      <c r="G10" s="1">
        <v>6</v>
      </c>
      <c r="H10" s="2">
        <v>46</v>
      </c>
      <c r="K10" s="4">
        <f>B10/3600</f>
        <v>8.3333333333333332E-3</v>
      </c>
      <c r="L10" s="1">
        <v>10</v>
      </c>
      <c r="M10" s="1"/>
      <c r="N10" s="1"/>
      <c r="O10" s="1"/>
      <c r="P10" s="1">
        <v>6</v>
      </c>
      <c r="Q10" s="4">
        <f>H10/3600</f>
        <v>1.2777777777777779E-2</v>
      </c>
      <c r="T10" s="13"/>
      <c r="U10" s="15"/>
      <c r="V10" s="15"/>
      <c r="W10" s="15"/>
      <c r="X10" s="15"/>
      <c r="Y10" s="15"/>
      <c r="Z10" s="13"/>
    </row>
    <row r="11" spans="2:26" x14ac:dyDescent="0.25">
      <c r="B11" s="2">
        <v>400</v>
      </c>
      <c r="C11" s="1">
        <v>11</v>
      </c>
      <c r="D11" s="2"/>
      <c r="E11" s="2" t="s">
        <v>0</v>
      </c>
      <c r="F11" s="2"/>
      <c r="G11" s="1">
        <v>5</v>
      </c>
      <c r="H11" s="2">
        <v>380</v>
      </c>
      <c r="K11" s="4">
        <f>B11/3600</f>
        <v>0.1111111111111111</v>
      </c>
      <c r="L11" s="1">
        <v>11</v>
      </c>
      <c r="M11" s="3"/>
      <c r="N11" s="3" t="s">
        <v>1</v>
      </c>
      <c r="O11" s="3"/>
      <c r="P11" s="1">
        <v>5</v>
      </c>
      <c r="Q11" s="4">
        <f>H11/3600</f>
        <v>0.10555555555555556</v>
      </c>
      <c r="T11" s="13"/>
      <c r="U11" s="15"/>
      <c r="V11" s="16"/>
      <c r="W11" s="16"/>
      <c r="X11" s="16"/>
      <c r="Y11" s="15"/>
      <c r="Z11" s="13"/>
    </row>
    <row r="12" spans="2:26" x14ac:dyDescent="0.25">
      <c r="B12" s="2">
        <v>50</v>
      </c>
      <c r="C12" s="1">
        <v>12</v>
      </c>
      <c r="D12" s="1"/>
      <c r="E12" s="1"/>
      <c r="F12" s="1"/>
      <c r="G12" s="1">
        <v>4</v>
      </c>
      <c r="H12" s="2">
        <v>120</v>
      </c>
      <c r="K12" s="4">
        <f>B12/3600</f>
        <v>1.3888888888888888E-2</v>
      </c>
      <c r="L12" s="1">
        <v>12</v>
      </c>
      <c r="M12" s="1"/>
      <c r="N12" s="1"/>
      <c r="O12" s="1"/>
      <c r="P12" s="1">
        <v>4</v>
      </c>
      <c r="Q12" s="4">
        <f>H12/3600</f>
        <v>3.3333333333333333E-2</v>
      </c>
      <c r="T12" s="13"/>
      <c r="U12" s="15"/>
      <c r="V12" s="15"/>
      <c r="W12" s="15"/>
      <c r="X12" s="15"/>
      <c r="Y12" s="15"/>
      <c r="Z12" s="13"/>
    </row>
    <row r="13" spans="2:26" x14ac:dyDescent="0.25">
      <c r="B13" s="23"/>
      <c r="C13" s="1"/>
      <c r="D13" s="1">
        <v>1</v>
      </c>
      <c r="E13" s="1">
        <v>2</v>
      </c>
      <c r="F13" s="1">
        <v>3</v>
      </c>
      <c r="G13" s="1"/>
      <c r="H13" s="23"/>
      <c r="K13" s="23"/>
      <c r="L13" s="1"/>
      <c r="M13" s="1">
        <v>1</v>
      </c>
      <c r="N13" s="1">
        <v>2</v>
      </c>
      <c r="O13" s="1">
        <v>3</v>
      </c>
      <c r="P13" s="1"/>
      <c r="Q13" s="23"/>
      <c r="T13" s="12"/>
      <c r="U13" s="15"/>
      <c r="V13" s="15"/>
      <c r="W13" s="15"/>
      <c r="X13" s="15"/>
      <c r="Y13" s="15"/>
      <c r="Z13" s="12"/>
    </row>
    <row r="14" spans="2:26" x14ac:dyDescent="0.25">
      <c r="B14" s="23"/>
      <c r="C14" s="23"/>
      <c r="D14" s="2">
        <v>20</v>
      </c>
      <c r="E14" s="2">
        <v>60</v>
      </c>
      <c r="F14" s="2">
        <v>5</v>
      </c>
      <c r="G14" s="23"/>
      <c r="H14" s="23"/>
      <c r="K14" s="23"/>
      <c r="L14" s="23"/>
      <c r="M14" s="4">
        <f>D14/3600</f>
        <v>5.5555555555555558E-3</v>
      </c>
      <c r="N14" s="4">
        <f>E14/3600</f>
        <v>1.6666666666666666E-2</v>
      </c>
      <c r="O14" s="4">
        <f>F14/3600</f>
        <v>1.3888888888888889E-3</v>
      </c>
      <c r="P14" s="23"/>
      <c r="Q14" s="23"/>
      <c r="T14" s="12"/>
      <c r="U14" s="12"/>
      <c r="V14" s="13"/>
      <c r="W14" s="14"/>
      <c r="X14" s="13"/>
      <c r="Y14" s="12"/>
      <c r="Z14" s="12"/>
    </row>
    <row r="17" spans="2:20" x14ac:dyDescent="0.25">
      <c r="D17" s="24" t="s">
        <v>7</v>
      </c>
      <c r="E17" s="24"/>
      <c r="F17" s="24"/>
      <c r="J17" s="5" t="s">
        <v>18</v>
      </c>
      <c r="L17" s="5" t="s">
        <v>18</v>
      </c>
      <c r="O17" s="5" t="s">
        <v>18</v>
      </c>
      <c r="R17" s="5" t="s">
        <v>18</v>
      </c>
      <c r="S17" s="5" t="s">
        <v>18</v>
      </c>
    </row>
    <row r="18" spans="2:20" x14ac:dyDescent="0.25">
      <c r="B18" s="5" t="s">
        <v>6</v>
      </c>
      <c r="C18" s="5" t="s">
        <v>2</v>
      </c>
      <c r="D18" s="5" t="s">
        <v>3</v>
      </c>
      <c r="E18" s="5" t="s">
        <v>4</v>
      </c>
      <c r="F18" s="5" t="s">
        <v>5</v>
      </c>
      <c r="G18" s="5" t="s">
        <v>8</v>
      </c>
      <c r="H18" s="5" t="s">
        <v>9</v>
      </c>
      <c r="I18" s="5" t="s">
        <v>10</v>
      </c>
      <c r="J18" s="5" t="s">
        <v>15</v>
      </c>
      <c r="K18" s="5" t="s">
        <v>11</v>
      </c>
      <c r="L18" s="5" t="s">
        <v>14</v>
      </c>
      <c r="M18" s="5" t="s">
        <v>55</v>
      </c>
      <c r="N18" s="5" t="s">
        <v>12</v>
      </c>
      <c r="O18" s="5" t="s">
        <v>13</v>
      </c>
      <c r="P18" s="5" t="s">
        <v>56</v>
      </c>
      <c r="Q18" s="5" t="s">
        <v>16</v>
      </c>
      <c r="R18" s="5" t="s">
        <v>17</v>
      </c>
      <c r="S18" s="5" t="s">
        <v>19</v>
      </c>
      <c r="T18" s="5" t="s">
        <v>50</v>
      </c>
    </row>
    <row r="19" spans="2:20" ht="15.75" thickBot="1" x14ac:dyDescent="0.3">
      <c r="B19" s="6">
        <v>1</v>
      </c>
      <c r="C19" s="2">
        <v>2</v>
      </c>
      <c r="D19" s="2" t="s">
        <v>40</v>
      </c>
      <c r="E19" s="20"/>
      <c r="F19" s="20"/>
      <c r="G19" s="4">
        <f>Q11+Q12/2</f>
        <v>0.12222222222222222</v>
      </c>
      <c r="H19" s="2">
        <v>5</v>
      </c>
      <c r="I19" s="2">
        <v>3</v>
      </c>
      <c r="J19" s="20"/>
      <c r="K19" s="4">
        <f>G19*(EXP(-G19*H19))/(1-EXP(-G19*I19))</f>
        <v>0.21610612867437196</v>
      </c>
      <c r="L19" s="4">
        <f>K19</f>
        <v>0.21610612867437196</v>
      </c>
      <c r="M19" s="22">
        <f>1-M14/L19</f>
        <v>0.97429246643936396</v>
      </c>
      <c r="N19" s="20"/>
      <c r="O19" s="20"/>
      <c r="P19" s="20"/>
      <c r="Q19" s="20"/>
      <c r="R19" s="20"/>
      <c r="S19" s="7">
        <f>L19</f>
        <v>0.21610612867437196</v>
      </c>
      <c r="T19" s="7">
        <f>M14/S19</f>
        <v>2.5707533560636077E-2</v>
      </c>
    </row>
    <row r="20" spans="2:20" ht="16.5" thickTop="1" thickBot="1" x14ac:dyDescent="0.3">
      <c r="B20" s="6">
        <v>2</v>
      </c>
      <c r="C20" s="2">
        <v>3</v>
      </c>
      <c r="D20" s="2" t="s">
        <v>37</v>
      </c>
      <c r="E20" s="2" t="s">
        <v>38</v>
      </c>
      <c r="F20" s="20"/>
      <c r="G20" s="4">
        <f>Q12/2+Q11+Q10+K10+K11+K12</f>
        <v>0.26833333333333337</v>
      </c>
      <c r="H20" s="2">
        <v>8</v>
      </c>
      <c r="I20" s="2">
        <v>5</v>
      </c>
      <c r="J20" s="20"/>
      <c r="K20" s="4">
        <f>G20*(EXP(-G20*H20))/(1-EXP(-G20*I20))</f>
        <v>4.2460537998177554E-2</v>
      </c>
      <c r="L20" s="20"/>
      <c r="M20" s="20"/>
      <c r="N20" s="4">
        <f>M30*M24</f>
        <v>0.8772139282538447</v>
      </c>
      <c r="O20" s="4">
        <f>K20*N20</f>
        <v>3.7246975333152972E-2</v>
      </c>
      <c r="P20" s="22">
        <f>1-N14/O20</f>
        <v>0.55253637328688221</v>
      </c>
      <c r="Q20" s="20"/>
      <c r="R20" s="20"/>
      <c r="S20" s="7">
        <f>O20</f>
        <v>3.7246975333152972E-2</v>
      </c>
      <c r="T20" s="7">
        <f>N14/S20</f>
        <v>0.44746362671311773</v>
      </c>
    </row>
    <row r="21" spans="2:20" ht="15.75" thickTop="1" x14ac:dyDescent="0.25">
      <c r="B21" s="6">
        <v>3</v>
      </c>
      <c r="C21" s="2">
        <v>4</v>
      </c>
      <c r="D21" s="2" t="s">
        <v>37</v>
      </c>
      <c r="E21" s="2" t="s">
        <v>41</v>
      </c>
      <c r="F21" s="2">
        <v>8</v>
      </c>
      <c r="G21" s="4">
        <f>Q12/2+Q11+Q10+O8+N8+K10/2+K11+K12</f>
        <v>0.28638888888888892</v>
      </c>
      <c r="H21" s="2">
        <v>8</v>
      </c>
      <c r="I21" s="2">
        <v>5</v>
      </c>
      <c r="J21" s="20"/>
      <c r="K21" s="4">
        <f>G21*(EXP(-G21*H21))/(1-EXP(-G21*I21))</f>
        <v>3.8059721472646538E-2</v>
      </c>
      <c r="L21" s="20"/>
      <c r="M21" s="20"/>
      <c r="N21" s="20"/>
      <c r="O21" s="20"/>
      <c r="P21" s="20"/>
      <c r="Q21" s="4">
        <f>M24*M30*P26*M25</f>
        <v>0.41067813058828617</v>
      </c>
      <c r="R21" s="4">
        <f>K21*Q21</f>
        <v>1.5630295265097335E-2</v>
      </c>
      <c r="S21" s="7">
        <f>R21</f>
        <v>1.5630295265097335E-2</v>
      </c>
      <c r="T21" s="7">
        <f>O14/S21</f>
        <v>8.8858774919645764E-2</v>
      </c>
    </row>
    <row r="22" spans="2:20" x14ac:dyDescent="0.25">
      <c r="B22" s="6">
        <v>4</v>
      </c>
      <c r="C22" s="2">
        <v>1</v>
      </c>
      <c r="D22" s="20"/>
      <c r="E22" s="20"/>
      <c r="F22" s="20"/>
      <c r="G22" s="20"/>
      <c r="H22" s="20"/>
      <c r="I22" s="20"/>
      <c r="J22" s="4">
        <v>0.4</v>
      </c>
      <c r="K22" s="20"/>
      <c r="L22" s="20"/>
      <c r="M22" s="20"/>
      <c r="N22" s="20"/>
      <c r="O22" s="20"/>
      <c r="P22" s="20"/>
      <c r="Q22" s="20"/>
      <c r="R22" s="20"/>
      <c r="S22" s="7">
        <f>J22</f>
        <v>0.4</v>
      </c>
      <c r="T22" s="7">
        <f>Q12/S22</f>
        <v>8.3333333333333329E-2</v>
      </c>
    </row>
    <row r="23" spans="2:20" x14ac:dyDescent="0.25">
      <c r="B23" s="6">
        <v>5</v>
      </c>
      <c r="C23" s="2">
        <v>1</v>
      </c>
      <c r="D23" s="20"/>
      <c r="E23" s="20"/>
      <c r="F23" s="20"/>
      <c r="G23" s="20"/>
      <c r="H23" s="20"/>
      <c r="I23" s="20"/>
      <c r="J23" s="4">
        <v>0.5</v>
      </c>
      <c r="K23" s="20"/>
      <c r="L23" s="20"/>
      <c r="M23" s="20"/>
      <c r="N23" s="20"/>
      <c r="O23" s="20"/>
      <c r="P23" s="20"/>
      <c r="Q23" s="20"/>
      <c r="R23" s="20"/>
      <c r="S23" s="7">
        <f>J23</f>
        <v>0.5</v>
      </c>
      <c r="T23" s="7">
        <f>Q11/S23</f>
        <v>0.21111111111111111</v>
      </c>
    </row>
    <row r="24" spans="2:20" ht="15.75" thickBot="1" x14ac:dyDescent="0.3">
      <c r="B24" s="6">
        <v>6</v>
      </c>
      <c r="C24" s="2">
        <v>2</v>
      </c>
      <c r="D24" s="2" t="s">
        <v>36</v>
      </c>
      <c r="E24" s="20"/>
      <c r="F24" s="20"/>
      <c r="G24" s="4">
        <f>K11+K10</f>
        <v>0.11944444444444444</v>
      </c>
      <c r="H24" s="2">
        <v>5</v>
      </c>
      <c r="I24" s="2">
        <v>3</v>
      </c>
      <c r="J24" s="20"/>
      <c r="K24" s="4">
        <f>G24*(EXP(-G24*H24))/(1-EXP(-G24*I24))</f>
        <v>0.21827222714559416</v>
      </c>
      <c r="L24" s="4">
        <f>K24</f>
        <v>0.21827222714559416</v>
      </c>
      <c r="M24" s="22">
        <f>1-Q10/L24</f>
        <v>0.94145944289442463</v>
      </c>
      <c r="N24" s="20"/>
      <c r="O24" s="20"/>
      <c r="P24" s="20"/>
      <c r="Q24" s="20"/>
      <c r="R24" s="20"/>
      <c r="S24" s="7">
        <f>L24</f>
        <v>0.21827222714559416</v>
      </c>
      <c r="T24" s="7">
        <f>Q10/S24</f>
        <v>5.8540557105575396E-2</v>
      </c>
    </row>
    <row r="25" spans="2:20" ht="16.5" thickTop="1" thickBot="1" x14ac:dyDescent="0.3">
      <c r="B25" s="6">
        <v>7</v>
      </c>
      <c r="C25" s="2">
        <v>2</v>
      </c>
      <c r="D25" s="2" t="s">
        <v>36</v>
      </c>
      <c r="E25" s="20"/>
      <c r="F25" s="20"/>
      <c r="G25" s="4">
        <f>K11+K10/2</f>
        <v>0.11527777777777777</v>
      </c>
      <c r="H25" s="2">
        <v>5</v>
      </c>
      <c r="I25" s="2">
        <v>3</v>
      </c>
      <c r="J25" s="20"/>
      <c r="K25" s="4">
        <f>G25*(EXP(-G25*H25))/(1-EXP(-G25*I25))</f>
        <v>0.22155976293764545</v>
      </c>
      <c r="L25" s="4">
        <f>K25</f>
        <v>0.22155976293764545</v>
      </c>
      <c r="M25" s="22">
        <f>1-O8/L25</f>
        <v>0.9811939378729192</v>
      </c>
      <c r="N25" s="20"/>
      <c r="O25" s="20"/>
      <c r="P25" s="20"/>
      <c r="Q25" s="20"/>
      <c r="R25" s="20"/>
      <c r="S25" s="7">
        <f>L25</f>
        <v>0.22155976293764545</v>
      </c>
      <c r="T25" s="7">
        <f>O8/S25</f>
        <v>1.8806062127080855E-2</v>
      </c>
    </row>
    <row r="26" spans="2:20" ht="16.5" thickTop="1" thickBot="1" x14ac:dyDescent="0.3">
      <c r="B26" s="6">
        <v>8</v>
      </c>
      <c r="C26" s="2">
        <v>3</v>
      </c>
      <c r="D26" s="2" t="s">
        <v>37</v>
      </c>
      <c r="E26" s="2" t="s">
        <v>38</v>
      </c>
      <c r="F26" s="20"/>
      <c r="G26" s="4">
        <f>K10/2+K11+K12+Q12+Q11+Q10</f>
        <v>0.28083333333333332</v>
      </c>
      <c r="H26" s="2">
        <v>8</v>
      </c>
      <c r="I26" s="2">
        <v>5</v>
      </c>
      <c r="J26" s="20"/>
      <c r="K26" s="4">
        <f>G26*(EXP(-G26*H26))/(1-EXP(-G26*I26))</f>
        <v>3.936549331208223E-2</v>
      </c>
      <c r="L26" s="20"/>
      <c r="M26" s="20"/>
      <c r="N26" s="4">
        <f>M24*M30</f>
        <v>0.8772139282538447</v>
      </c>
      <c r="O26" s="4">
        <f>K26*N26</f>
        <v>3.4531959025942104E-2</v>
      </c>
      <c r="P26" s="22">
        <f>1-N8/O26</f>
        <v>0.47713491893143589</v>
      </c>
      <c r="Q26" s="20"/>
      <c r="R26" s="20"/>
      <c r="S26" s="7">
        <f>O26</f>
        <v>3.4531959025942104E-2</v>
      </c>
      <c r="T26" s="7">
        <f>N8/S26</f>
        <v>0.52286508106856411</v>
      </c>
    </row>
    <row r="27" spans="2:20" ht="15.75" thickTop="1" x14ac:dyDescent="0.25">
      <c r="B27" s="6">
        <v>9</v>
      </c>
      <c r="C27" s="2">
        <v>4</v>
      </c>
      <c r="D27" s="2" t="s">
        <v>37</v>
      </c>
      <c r="E27" s="2" t="s">
        <v>39</v>
      </c>
      <c r="F27" s="2">
        <v>2</v>
      </c>
      <c r="G27" s="4">
        <f>K10/2+K11+K12+M14+N14+Q12/2+Q11+Q10</f>
        <v>0.28638888888888886</v>
      </c>
      <c r="H27" s="2">
        <v>8</v>
      </c>
      <c r="I27" s="2">
        <v>5</v>
      </c>
      <c r="J27" s="20"/>
      <c r="K27" s="4">
        <f>G27*(EXP(-G27*H27))/(1-EXP(-G27*I27))</f>
        <v>3.8059721472646545E-2</v>
      </c>
      <c r="L27" s="20"/>
      <c r="M27" s="20"/>
      <c r="N27" s="20"/>
      <c r="O27" s="20"/>
      <c r="P27" s="20"/>
      <c r="Q27" s="4">
        <f>M24*M30*P20*M19</f>
        <v>0.47223235116839496</v>
      </c>
      <c r="R27" s="4">
        <f>K27*Q27</f>
        <v>1.7973031755842125E-2</v>
      </c>
      <c r="S27" s="7">
        <f>R27</f>
        <v>1.7973031755842125E-2</v>
      </c>
      <c r="T27" s="7">
        <f>M8/S27</f>
        <v>0.10818678066444765</v>
      </c>
    </row>
    <row r="28" spans="2:20" x14ac:dyDescent="0.25">
      <c r="B28" s="6">
        <v>10</v>
      </c>
      <c r="C28" s="2">
        <v>1</v>
      </c>
      <c r="D28" s="20"/>
      <c r="E28" s="20"/>
      <c r="F28" s="20"/>
      <c r="G28" s="20"/>
      <c r="H28" s="20"/>
      <c r="I28" s="20"/>
      <c r="J28" s="4">
        <v>0.4</v>
      </c>
      <c r="K28" s="20"/>
      <c r="L28" s="20"/>
      <c r="M28" s="20"/>
      <c r="N28" s="20"/>
      <c r="O28" s="20"/>
      <c r="P28" s="20"/>
      <c r="Q28" s="20"/>
      <c r="R28" s="20"/>
      <c r="S28" s="7">
        <f>J28</f>
        <v>0.4</v>
      </c>
      <c r="T28" s="7">
        <f>K10/S28</f>
        <v>2.0833333333333332E-2</v>
      </c>
    </row>
    <row r="29" spans="2:20" x14ac:dyDescent="0.25">
      <c r="B29" s="6">
        <v>11</v>
      </c>
      <c r="C29" s="2">
        <v>1</v>
      </c>
      <c r="D29" s="20"/>
      <c r="E29" s="20"/>
      <c r="F29" s="20"/>
      <c r="G29" s="20"/>
      <c r="H29" s="20"/>
      <c r="I29" s="20"/>
      <c r="J29" s="4">
        <v>0.5</v>
      </c>
      <c r="K29" s="20"/>
      <c r="L29" s="20"/>
      <c r="M29" s="20"/>
      <c r="N29" s="20"/>
      <c r="O29" s="20"/>
      <c r="P29" s="20"/>
      <c r="Q29" s="20"/>
      <c r="R29" s="20"/>
      <c r="S29" s="7">
        <f>J29</f>
        <v>0.5</v>
      </c>
      <c r="T29" s="7">
        <f>K11/S29</f>
        <v>0.22222222222222221</v>
      </c>
    </row>
    <row r="30" spans="2:20" ht="15.75" thickBot="1" x14ac:dyDescent="0.3">
      <c r="B30" s="6">
        <v>12</v>
      </c>
      <c r="C30" s="2">
        <v>2</v>
      </c>
      <c r="D30" s="2" t="s">
        <v>40</v>
      </c>
      <c r="E30" s="20"/>
      <c r="F30" s="20"/>
      <c r="G30" s="4">
        <f>Q11+Q12</f>
        <v>0.1388888888888889</v>
      </c>
      <c r="H30" s="2">
        <v>5</v>
      </c>
      <c r="I30" s="2">
        <v>3</v>
      </c>
      <c r="J30" s="20"/>
      <c r="K30" s="4">
        <f>G30*(EXP(-G30*H30))/(1-EXP(-G30*I30))</f>
        <v>0.20352900383642841</v>
      </c>
      <c r="L30" s="4">
        <f>K30</f>
        <v>0.20352900383642841</v>
      </c>
      <c r="M30" s="22">
        <f>1-K12/L30</f>
        <v>0.93175965770435809</v>
      </c>
      <c r="N30" s="20"/>
      <c r="O30" s="20"/>
      <c r="P30" s="20"/>
      <c r="Q30" s="20"/>
      <c r="R30" s="20"/>
      <c r="S30" s="7">
        <f>L30</f>
        <v>0.20352900383642841</v>
      </c>
      <c r="T30" s="7">
        <f>K12/S30</f>
        <v>6.8240342295641895E-2</v>
      </c>
    </row>
    <row r="31" spans="2:20" ht="15.75" thickTop="1" x14ac:dyDescent="0.25"/>
    <row r="33" spans="2:19" x14ac:dyDescent="0.25">
      <c r="B33" s="5" t="s">
        <v>20</v>
      </c>
      <c r="C33" s="5" t="s">
        <v>25</v>
      </c>
      <c r="D33" s="5" t="s">
        <v>26</v>
      </c>
      <c r="E33" s="5" t="s">
        <v>27</v>
      </c>
      <c r="F33" s="5" t="s">
        <v>28</v>
      </c>
      <c r="G33" s="5" t="s">
        <v>29</v>
      </c>
      <c r="H33" s="5" t="s">
        <v>30</v>
      </c>
      <c r="I33" s="5" t="s">
        <v>31</v>
      </c>
      <c r="J33" s="5" t="s">
        <v>34</v>
      </c>
      <c r="K33" s="5" t="s">
        <v>33</v>
      </c>
    </row>
    <row r="34" spans="2:19" x14ac:dyDescent="0.25">
      <c r="B34" s="6" t="s">
        <v>21</v>
      </c>
      <c r="C34" s="2" t="s">
        <v>52</v>
      </c>
      <c r="D34" s="20"/>
      <c r="E34" s="4">
        <f>M14+N14</f>
        <v>2.2222222222222223E-2</v>
      </c>
      <c r="F34" s="4">
        <f>M14/S19+N14/S20</f>
        <v>0.47317116027375383</v>
      </c>
      <c r="G34" s="4">
        <f>E34/F34</f>
        <v>4.6964447726200231E-2</v>
      </c>
      <c r="H34" s="8">
        <f>E34/G34</f>
        <v>0.47317116027375383</v>
      </c>
      <c r="I34" s="9">
        <f>1/G34+900*1*((H34-1)+SQRT((H34-1)^2+H34/(450*1*G34)))+5</f>
        <v>45.045878186087336</v>
      </c>
      <c r="J34" s="2" t="s">
        <v>66</v>
      </c>
      <c r="K34" s="19">
        <f>ROUNDUP((900*1*((H34-1)+SQRT((H34-1)^2+H34/(150*1*G34)))*G34),0)</f>
        <v>3</v>
      </c>
      <c r="M34" s="23"/>
      <c r="N34" s="23"/>
      <c r="P34" s="4">
        <f>E40</f>
        <v>1.9444444444444444E-3</v>
      </c>
      <c r="Q34" s="4">
        <f>E39</f>
        <v>2.222222222222222E-2</v>
      </c>
      <c r="R34" s="23"/>
      <c r="S34" s="23"/>
    </row>
    <row r="35" spans="2:19" ht="15.75" thickBot="1" x14ac:dyDescent="0.3">
      <c r="B35" s="6" t="s">
        <v>51</v>
      </c>
      <c r="C35" s="2">
        <v>3</v>
      </c>
      <c r="D35" s="20"/>
      <c r="E35" s="4">
        <f>O14</f>
        <v>1.3888888888888889E-3</v>
      </c>
      <c r="F35" s="4">
        <f>O14/S21</f>
        <v>8.8858774919645764E-2</v>
      </c>
      <c r="G35" s="4">
        <f>E35/F35</f>
        <v>1.5630295265097335E-2</v>
      </c>
      <c r="H35" s="8">
        <f>E35/G35</f>
        <v>8.8858774919645764E-2</v>
      </c>
      <c r="I35" s="9">
        <f t="shared" ref="I35" si="0">1/G35+900*1*((H35-1)+SQRT((H35-1)^2+H35/(450*1*G35)))+5</f>
        <v>75.194225548985074</v>
      </c>
      <c r="J35" s="2" t="s">
        <v>35</v>
      </c>
      <c r="K35" s="19">
        <f>ROUNDUP((900*1*((H35-1)+SQRT((H35-1)^2+H35/(150*1*G35)))*G35),0)</f>
        <v>1</v>
      </c>
      <c r="M35" s="23"/>
      <c r="N35" s="1"/>
      <c r="P35" s="1" t="s">
        <v>54</v>
      </c>
      <c r="Q35" s="1" t="s">
        <v>23</v>
      </c>
      <c r="R35" s="1"/>
      <c r="S35" s="23"/>
    </row>
    <row r="36" spans="2:19" ht="16.5" thickTop="1" thickBot="1" x14ac:dyDescent="0.3">
      <c r="B36" s="6" t="s">
        <v>22</v>
      </c>
      <c r="C36" s="2" t="s">
        <v>46</v>
      </c>
      <c r="D36" s="2">
        <v>0.3</v>
      </c>
      <c r="E36" s="4">
        <f>Q12+D36*Q11</f>
        <v>6.5000000000000002E-2</v>
      </c>
      <c r="F36" s="4">
        <f>(Q12/S22+D36*Q11/S23)</f>
        <v>0.14666666666666667</v>
      </c>
      <c r="G36" s="4">
        <f t="shared" ref="G36:G43" si="1">E36/F36</f>
        <v>0.44318181818181818</v>
      </c>
      <c r="H36" s="17">
        <f t="shared" ref="H36:H43" si="2">E36/G36</f>
        <v>0.14666666666666667</v>
      </c>
      <c r="I36" s="21"/>
      <c r="J36" s="20"/>
      <c r="K36" s="21"/>
      <c r="M36" s="4">
        <f>E41</f>
        <v>5.8333333333333327E-2</v>
      </c>
      <c r="N36" s="1" t="s">
        <v>24</v>
      </c>
      <c r="O36" s="1"/>
      <c r="P36" s="1"/>
      <c r="Q36" s="1"/>
      <c r="R36" s="1" t="s">
        <v>43</v>
      </c>
      <c r="S36" s="4">
        <f>E38</f>
        <v>1.2777777777777779E-2</v>
      </c>
    </row>
    <row r="37" spans="2:19" ht="16.5" thickTop="1" thickBot="1" x14ac:dyDescent="0.3">
      <c r="B37" s="6" t="s">
        <v>42</v>
      </c>
      <c r="C37" s="2" t="s">
        <v>47</v>
      </c>
      <c r="D37" s="3">
        <f>1-D36</f>
        <v>0.7</v>
      </c>
      <c r="E37" s="4">
        <f>D37*Q11</f>
        <v>7.3888888888888879E-2</v>
      </c>
      <c r="F37" s="4">
        <f>Q11*D37/S23</f>
        <v>0.14777777777777776</v>
      </c>
      <c r="G37" s="4">
        <f t="shared" si="1"/>
        <v>0.5</v>
      </c>
      <c r="H37" s="17">
        <f t="shared" si="2"/>
        <v>0.14777777777777776</v>
      </c>
      <c r="I37" s="21"/>
      <c r="J37" s="20"/>
      <c r="K37" s="21"/>
      <c r="M37" s="4">
        <f>E42</f>
        <v>6.1111111111111116E-2</v>
      </c>
      <c r="N37" s="1" t="s">
        <v>44</v>
      </c>
      <c r="O37" s="3"/>
      <c r="P37" s="3" t="s">
        <v>57</v>
      </c>
      <c r="Q37" s="3"/>
      <c r="R37" s="1" t="s">
        <v>42</v>
      </c>
      <c r="S37" s="4">
        <f>E37</f>
        <v>7.3888888888888879E-2</v>
      </c>
    </row>
    <row r="38" spans="2:19" ht="15.75" thickTop="1" x14ac:dyDescent="0.25">
      <c r="B38" s="6" t="s">
        <v>43</v>
      </c>
      <c r="C38" s="2">
        <v>6</v>
      </c>
      <c r="D38" s="20"/>
      <c r="E38" s="4">
        <f>Q10</f>
        <v>1.2777777777777779E-2</v>
      </c>
      <c r="F38" s="4">
        <f>Q10/S24</f>
        <v>5.8540557105575396E-2</v>
      </c>
      <c r="G38" s="4">
        <f t="shared" si="1"/>
        <v>0.21827222714559416</v>
      </c>
      <c r="H38" s="8">
        <f t="shared" si="2"/>
        <v>5.8540557105575396E-2</v>
      </c>
      <c r="I38" s="9">
        <f t="shared" ref="I38:I43" si="3">1/G38+900*1*((H38-1)+SQRT((H38-1)^2+H38/(450*1*G38)))+5</f>
        <v>9.8662636162577062</v>
      </c>
      <c r="J38" s="2" t="s">
        <v>59</v>
      </c>
      <c r="K38" s="19">
        <f>ROUNDUP((900*1*((H38-1)+SQRT((H38-1)^2+H38/(150*1*G38)))*G38),0)</f>
        <v>1</v>
      </c>
      <c r="M38" s="4">
        <f>E43</f>
        <v>1.3888888888888888E-2</v>
      </c>
      <c r="N38" s="1" t="s">
        <v>45</v>
      </c>
      <c r="O38" s="1"/>
      <c r="P38" s="1"/>
      <c r="Q38" s="1"/>
      <c r="R38" s="1" t="s">
        <v>22</v>
      </c>
      <c r="S38" s="4">
        <f>E36</f>
        <v>6.5000000000000002E-2</v>
      </c>
    </row>
    <row r="39" spans="2:19" x14ac:dyDescent="0.25">
      <c r="B39" s="6" t="s">
        <v>23</v>
      </c>
      <c r="C39" s="2" t="s">
        <v>53</v>
      </c>
      <c r="D39" s="20"/>
      <c r="E39" s="4">
        <f>O8+N8</f>
        <v>2.222222222222222E-2</v>
      </c>
      <c r="F39" s="4">
        <f>O8/S25+N8/S26</f>
        <v>0.54167114319564491</v>
      </c>
      <c r="G39" s="4">
        <f t="shared" si="1"/>
        <v>4.1025301977727524E-2</v>
      </c>
      <c r="H39" s="8">
        <f t="shared" si="2"/>
        <v>0.54167114319564491</v>
      </c>
      <c r="I39" s="9">
        <f t="shared" si="3"/>
        <v>57.241517545421658</v>
      </c>
      <c r="J39" s="2" t="s">
        <v>35</v>
      </c>
      <c r="K39" s="19">
        <f>ROUNDUP((900*1*((H39-1)+SQRT((H39-1)^2+H39/(150*1*G39)))*G39),0)</f>
        <v>4</v>
      </c>
      <c r="M39" s="23"/>
      <c r="N39" s="1"/>
      <c r="O39" s="1" t="s">
        <v>21</v>
      </c>
      <c r="P39" s="1" t="s">
        <v>51</v>
      </c>
      <c r="R39" s="1"/>
      <c r="S39" s="23"/>
    </row>
    <row r="40" spans="2:19" ht="15.75" thickBot="1" x14ac:dyDescent="0.3">
      <c r="B40" s="6" t="s">
        <v>54</v>
      </c>
      <c r="C40" s="2">
        <v>9</v>
      </c>
      <c r="D40" s="20"/>
      <c r="E40" s="4">
        <f>M8</f>
        <v>1.9444444444444444E-3</v>
      </c>
      <c r="F40" s="4">
        <f>M8/S27</f>
        <v>0.10818678066444765</v>
      </c>
      <c r="G40" s="4">
        <f>E40/F40</f>
        <v>1.7973031755842125E-2</v>
      </c>
      <c r="H40" s="8">
        <f t="shared" si="2"/>
        <v>0.10818678066444765</v>
      </c>
      <c r="I40" s="9">
        <f t="shared" si="3"/>
        <v>67.360386215398194</v>
      </c>
      <c r="J40" s="2" t="s">
        <v>35</v>
      </c>
      <c r="K40" s="19">
        <f>ROUNDUP((900*1*((H40-1)+SQRT((H40-1)^2+H40/(150*1*G40)))*G40),0)</f>
        <v>1</v>
      </c>
      <c r="M40" s="23"/>
      <c r="N40" s="23"/>
      <c r="O40" s="4">
        <f>E34</f>
        <v>2.2222222222222223E-2</v>
      </c>
      <c r="P40" s="4">
        <f>E35</f>
        <v>1.3888888888888889E-3</v>
      </c>
      <c r="R40" s="23"/>
      <c r="S40" s="23"/>
    </row>
    <row r="41" spans="2:19" ht="16.5" thickTop="1" thickBot="1" x14ac:dyDescent="0.3">
      <c r="B41" s="6" t="s">
        <v>24</v>
      </c>
      <c r="C41" s="2" t="s">
        <v>48</v>
      </c>
      <c r="D41" s="2">
        <v>0.45</v>
      </c>
      <c r="E41" s="4">
        <f>K10+D41*K11</f>
        <v>5.8333333333333327E-2</v>
      </c>
      <c r="F41" s="4">
        <f>K10/S28+D41*K11/S29</f>
        <v>0.12083333333333332</v>
      </c>
      <c r="G41" s="4">
        <f t="shared" si="1"/>
        <v>0.48275862068965519</v>
      </c>
      <c r="H41" s="17">
        <f t="shared" si="2"/>
        <v>0.12083333333333332</v>
      </c>
      <c r="I41" s="21"/>
      <c r="J41" s="20"/>
      <c r="K41" s="21"/>
    </row>
    <row r="42" spans="2:19" ht="16.5" thickTop="1" thickBot="1" x14ac:dyDescent="0.3">
      <c r="B42" s="6" t="s">
        <v>44</v>
      </c>
      <c r="C42" s="2" t="s">
        <v>49</v>
      </c>
      <c r="D42" s="3">
        <f>1-D41</f>
        <v>0.55000000000000004</v>
      </c>
      <c r="E42" s="4">
        <f>D42*K11</f>
        <v>6.1111111111111116E-2</v>
      </c>
      <c r="F42" s="4">
        <f>D42*K11/S29</f>
        <v>0.12222222222222223</v>
      </c>
      <c r="G42" s="4">
        <f t="shared" si="1"/>
        <v>0.5</v>
      </c>
      <c r="H42" s="17">
        <f t="shared" si="2"/>
        <v>0.12222222222222223</v>
      </c>
      <c r="I42" s="21"/>
      <c r="J42" s="20"/>
      <c r="K42" s="21"/>
    </row>
    <row r="43" spans="2:19" ht="15.75" thickTop="1" x14ac:dyDescent="0.25">
      <c r="B43" s="6" t="s">
        <v>45</v>
      </c>
      <c r="C43" s="2">
        <v>12</v>
      </c>
      <c r="D43" s="20"/>
      <c r="E43" s="4">
        <f>K12</f>
        <v>1.3888888888888888E-2</v>
      </c>
      <c r="F43" s="4">
        <f>K12/S30</f>
        <v>6.8240342295641895E-2</v>
      </c>
      <c r="G43" s="4">
        <f t="shared" si="1"/>
        <v>0.20352900383642841</v>
      </c>
      <c r="H43" s="8">
        <f t="shared" si="2"/>
        <v>6.8240342295641895E-2</v>
      </c>
      <c r="I43" s="9">
        <f t="shared" si="3"/>
        <v>10.27306875650307</v>
      </c>
      <c r="J43" s="2" t="s">
        <v>32</v>
      </c>
      <c r="K43" s="19">
        <f>ROUNDUP((900*1*((H43-1)+SQRT((H43-1)^2+H43/(150*1*G43)))*G43),0)</f>
        <v>1</v>
      </c>
    </row>
    <row r="46" spans="2:19" x14ac:dyDescent="0.25">
      <c r="B46" s="11" t="s">
        <v>60</v>
      </c>
    </row>
    <row r="47" spans="2:19" x14ac:dyDescent="0.25">
      <c r="B47" s="10" t="s">
        <v>61</v>
      </c>
    </row>
    <row r="48" spans="2:19" x14ac:dyDescent="0.25">
      <c r="B48" s="18" t="s">
        <v>62</v>
      </c>
    </row>
    <row r="49" spans="2:2" x14ac:dyDescent="0.25">
      <c r="B49" s="10" t="s">
        <v>63</v>
      </c>
    </row>
  </sheetData>
  <mergeCells count="1">
    <mergeCell ref="D17:F1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unsig intersection example</vt:lpstr>
    </vt:vector>
  </TitlesOfParts>
  <Company>QUT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Queensland University of Technology</dc:creator>
  <cp:lastModifiedBy>Queensland University of Technology</cp:lastModifiedBy>
  <cp:lastPrinted>2015-08-12T22:19:28Z</cp:lastPrinted>
  <dcterms:created xsi:type="dcterms:W3CDTF">2011-06-27T00:47:11Z</dcterms:created>
  <dcterms:modified xsi:type="dcterms:W3CDTF">2017-03-29T03:31:29Z</dcterms:modified>
</cp:coreProperties>
</file>